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3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<sst xmlns="http://schemas.openxmlformats.org/spreadsheetml/2006/main" count="1068" uniqueCount="878">
  <si>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</si>
  <si>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</si>
  <si>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</si>
  <si>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</si>
  <si>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</si>
  <si>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</si>
  <si>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</si>
  <si>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</si>
  <si>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</si>
  <si>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</si>
  <si>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</si>
  <si>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</si>
  <si>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</si>
  <si>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</si>
  <si>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</si>
  <si>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</si>
  <si>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</si>
  <si>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</si>
  <si>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</si>
  <si>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</si>
  <si>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</si>
  <si>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</si>
  <si>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</si>
  <si>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</si>
  <si>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</si>
  <si>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</si>
  <si>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</si>
  <si>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</si>
  <si>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</si>
  <si>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</si>
  <si>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</si>
  <si>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</si>
  <si>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</si>
  <si>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</si>
  <si>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</si>
  <si>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</si>
  <si>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</si>
  <si>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</si>
  <si>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</si>
  <si>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</si>
  <si>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</si>
  <si>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</si>
  <si>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</si>
  <si>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</si>
  <si>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</si>
  <si>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</si>
  <si>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</si>
  <si>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</si>
  <si>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</si>
  <si>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</si>
  <si>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</si>
  <si>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</si>
  <si>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</si>
  <si>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</si>
  <si>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</si>
  <si>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</si>
  <si>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</si>
  <si>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</si>
  <si>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</si>
  <si>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</si>
  <si>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</si>
  <si>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</si>
  <si>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</si>
  <si>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</si>
  <si>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</si>
  <si>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</si>
  <si>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</si>
  <si>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</si>
  <si>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</si>
  <si>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</si>
  <si>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</si>
  <si>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</si>
  <si>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</si>
  <si>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</si>
  <si>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</si>
  <si>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</si>
  <si>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</si>
  <si>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</si>
  <si>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</si>
  <si>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</si>
  <si>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</si>
  <si>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</si>
  <si>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</si>
  <si>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</si>
  <si>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</si>
  <si>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</si>
  <si>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</si>
  <si>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</si>
  <si>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</si>
  <si>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</si>
  <si>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</si>
  <si>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</si>
  <si>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</si>
  <si>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</si>
  <si>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</si>
  <si>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</si>
  <si>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</si>
  <si>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</si>
  <si>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</si>
  <si>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</si>
  <si>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</si>
  <si>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</si>
  <si>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</si>
  <si>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</si>
  <si>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</si>
  <si>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</si>
  <si>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</si>
  <si>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</si>
  <si>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</si>
  <si>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</si>
  <si>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</si>
  <si>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</si>
  <si>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</si>
  <si>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</si>
  <si>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</si>
  <si>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</si>
  <si>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</si>
  <si>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</si>
  <si>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</si>
  <si>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</si>
  <si>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</si>
  <si>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</si>
  <si>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</si>
  <si>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</si>
  <si>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</si>
  <si>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</si>
  <si>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</si>
  <si>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</si>
  <si>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</si>
  <si>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</si>
  <si>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</si>
  <si>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</si>
  <si>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</si>
  <si>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</si>
  <si>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</si>
  <si>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</si>
  <si>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</si>
  <si>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</si>
  <si>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</si>
  <si>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</si>
  <si>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</si>
  <si>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</si>
  <si>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</si>
  <si>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</si>
  <si>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</si>
  <si>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</si>
  <si>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</si>
  <si>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</si>
  <si>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</si>
  <si>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</si>
  <si>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</si>
  <si>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</si>
  <si>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</si>
  <si>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</si>
  <si>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</si>
  <si>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</si>
  <si>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</si>
  <si>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</si>
  <si>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</si>
  <si>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</si>
  <si>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</si>
  <si>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</si>
  <si>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</si>
  <si>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</si>
  <si>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</si>
  <si>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</si>
  <si>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</si>
  <si>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</si>
  <si>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</si>
  <si>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</si>
  <si>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</si>
  <si>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</si>
  <si>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</si>
  <si>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</si>
  <si>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</si>
  <si>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</si>
  <si>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</si>
  <si>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</si>
  <si>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</si>
  <si>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</si>
  <si>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</si>
  <si>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</si>
  <si>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</si>
  <si>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</si>
  <si>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</si>
  <si>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</si>
  <si>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</si>
  <si>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</si>
  <si>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</si>
  <si>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</si>
  <si>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</si>
  <si>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</si>
  <si>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</si>
  <si>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</si>
  <si>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</si>
  <si>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</si>
  <si>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</si>
  <si>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</si>
  <si>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</si>
  <si>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</si>
  <si>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</si>
  <si>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</si>
  <si>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</si>
  <si>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</si>
  <si>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</si>
  <si>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</si>
  <si>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</si>
  <si>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</si>
  <si>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</si>
  <si>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</si>
  <si>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</si>
  <si>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</si>
  <si>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</si>
  <si>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</si>
  <si>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</si>
  <si>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</si>
  <si>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</si>
  <si>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</si>
  <si>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</si>
  <si>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</si>
  <si>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</si>
  <si>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</si>
  <si>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</si>
  <si>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</si>
  <si>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</si>
  <si>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</si>
  <si>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</si>
  <si>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</si>
  <si>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</si>
  <si>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</si>
  <si>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</si>
  <si>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</si>
  <si>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</si>
  <si>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</si>
  <si>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</si>
  <si>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</si>
  <si>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</si>
  <si>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</si>
  <si>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</si>
  <si>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</si>
  <si>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</si>
  <si>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</si>
  <si>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</si>
  <si>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</si>
  <si>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</si>
  <si>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</si>
  <si>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</si>
  <si>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</si>
  <si>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</si>
  <si>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</si>
  <si>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</si>
  <si>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</si>
  <si>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</si>
  <si>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</si>
  <si>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</si>
  <si>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</si>
  <si>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</si>
  <si>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</si>
  <si>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</si>
  <si>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</si>
  <si>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</si>
  <si>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</si>
  <si>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</si>
  <si>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</si>
  <si>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</si>
  <si>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</si>
  <si>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</si>
  <si>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</si>
  <si>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</si>
  <si>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</si>
  <si>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</si>
  <si>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</si>
  <si>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</si>
  <si>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</si>
  <si>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</si>
  <si>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</si>
  <si>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</si>
  <si>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</si>
  <si>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</si>
  <si>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</si>
  <si>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</si>
  <si>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</si>
  <si>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</si>
  <si>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</si>
  <si>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</si>
  <si>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</si>
  <si>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</si>
  <si>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</si>
  <si>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</si>
  <si>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</si>
  <si>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</si>
  <si>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</si>
  <si>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</si>
  <si>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</si>
  <si>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</si>
  <si>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</si>
  <si>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</si>
  <si>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</si>
  <si>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</si>
  <si>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</si>
  <si>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</si>
  <si>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</si>
  <si>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</si>
  <si>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</si>
  <si>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</si>
  <si>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</si>
  <si>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</si>
  <si>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</si>
  <si>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</si>
  <si>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</si>
  <si>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</si>
  <si>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</si>
  <si>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</si>
  <si>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</si>
  <si>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</si>
  <si>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</si>
  <si>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</si>
  <si>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</si>
  <si>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</si>
  <si>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</si>
  <si>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</si>
  <si>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</si>
  <si>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</si>
  <si>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</si>
  <si>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</si>
  <si>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</si>
  <si>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</si>
  <si>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</si>
  <si>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</si>
  <si>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</si>
  <si>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</si>
  <si>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</si>
  <si>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</si>
  <si>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</si>
  <si>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</si>
  <si>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</si>
  <si>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</si>
  <si>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</si>
  <si>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</si>
  <si>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</si>
  <si>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</si>
  <si>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</si>
  <si>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</si>
  <si>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</si>
  <si>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</si>
  <si>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</si>
  <si>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</si>
  <si>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</si>
  <si>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</si>
  <si>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</si>
  <si>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</si>
  <si>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</si>
  <si>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</si>
  <si>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</si>
  <si>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</si>
  <si>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</si>
  <si>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</si>
  <si>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</si>
  <si>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</si>
  <si>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</si>
  <si>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</si>
  <si>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</si>
  <si>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</si>
  <si>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</si>
  <si>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</si>
  <si>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</si>
  <si>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</si>
  <si>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</si>
  <si>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</si>
  <si>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</si>
  <si>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</si>
  <si>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</si>
  <si>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</si>
  <si>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</si>
  <si>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</si>
  <si>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</si>
  <si>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</si>
  <si>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</si>
  <si>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</si>
  <si>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</si>
  <si>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</si>
  <si>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</si>
  <si>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</si>
  <si>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</si>
  <si>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</si>
  <si>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</si>
  <si>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</si>
  <si>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</si>
  <si>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</si>
  <si>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</si>
  <si>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</si>
  <si>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</si>
  <si>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</si>
  <si>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</si>
  <si>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</si>
  <si>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</si>
  <si>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</si>
  <si>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</si>
  <si>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</si>
  <si>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</si>
  <si>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</si>
  <si>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</si>
  <si>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</si>
  <si>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</si>
  <si>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</si>
  <si>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</si>
  <si>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</si>
  <si>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</si>
  <si>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</si>
  <si>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</si>
  <si>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</si>
  <si>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</si>
  <si>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</si>
  <si>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</si>
  <si>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</si>
  <si>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</si>
  <si>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</si>
  <si>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</si>
  <si>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</si>
  <si>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</si>
  <si>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</si>
  <si>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</si>
  <si>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</si>
  <si>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</si>
  <si>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</si>
  <si>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</si>
  <si>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</si>
  <si>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</si>
  <si>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</si>
  <si>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</si>
  <si>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</si>
  <si>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</si>
  <si>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</si>
  <si>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</si>
  <si>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</si>
  <si>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</si>
  <si>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</si>
  <si>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</si>
  <si>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</si>
  <si>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</si>
  <si>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</si>
  <si>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</si>
  <si>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</si>
  <si>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</si>
  <si>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</si>
  <si>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</si>
  <si>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</si>
  <si>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</si>
  <si>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</si>
  <si>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</si>
  <si>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</si>
  <si>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</si>
  <si>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</si>
  <si>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</si>
  <si>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</si>
  <si>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</si>
  <si>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</si>
  <si>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</si>
  <si>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</si>
  <si>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</si>
  <si>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</si>
  <si>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</si>
  <si>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</si>
  <si>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</si>
  <si>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</si>
  <si>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</si>
  <si>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</si>
  <si>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</si>
  <si>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</si>
  <si>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</si>
  <si>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</si>
  <si>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</si>
  <si>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</si>
  <si>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</si>
  <si>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</si>
  <si>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</si>
  <si>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</si>
  <si>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</si>
  <si>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</si>
  <si>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</si>
  <si>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</si>
  <si>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</si>
  <si>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</si>
  <si>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</si>
  <si>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</si>
  <si>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</si>
  <si>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</si>
  <si>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</si>
  <si>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</si>
  <si>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</si>
  <si>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</si>
  <si>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</si>
  <si>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</si>
  <si>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</si>
  <si>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</si>
  <si>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</si>
  <si>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</si>
  <si>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</si>
  <si>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</si>
  <si>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</si>
  <si>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</si>
  <si>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</si>
  <si>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</si>
  <si>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</si>
  <si>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</si>
  <si>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</si>
  <si>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</si>
  <si>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</si>
  <si>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</si>
  <si>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</si>
  <si>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</si>
  <si>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</si>
  <si>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</si>
  <si>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</si>
  <si>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</si>
  <si>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</si>
  <si>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</si>
  <si>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</si>
  <si>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</si>
  <si>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</si>
  <si>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</si>
  <si>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</si>
  <si>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</si>
  <si>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</si>
  <si>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</si>
  <si>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</si>
  <si>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</si>
  <si>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</si>
  <si>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</si>
  <si>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</si>
  <si>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</si>
  <si>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</si>
  <si>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</si>
  <si>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</si>
  <si>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</si>
  <si>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</si>
  <si>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</si>
  <si>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</si>
  <si>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</si>
  <si>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</si>
  <si>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</si>
  <si>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</si>
  <si>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</si>
  <si>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</si>
  <si>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</si>
  <si>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</si>
  <si>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</si>
  <si>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</si>
  <si>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</si>
  <si>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</si>
  <si>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</si>
  <si>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</si>
  <si>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</si>
  <si>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</si>
  <si>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</si>
  <si>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</si>
  <si>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</si>
  <si>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</si>
  <si>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</si>
  <si>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</si>
  <si>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</si>
  <si>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</si>
  <si>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</si>
  <si>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</si>
  <si>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</si>
  <si>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</si>
  <si>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</si>
  <si>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</si>
  <si>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</si>
  <si>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</si>
  <si>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</si>
  <si>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</si>
  <si>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</si>
  <si>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</si>
  <si>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</si>
  <si>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</si>
  <si>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</si>
  <si>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</si>
  <si>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</si>
  <si>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</si>
  <si>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</si>
  <si>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</si>
  <si>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</si>
  <si>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</si>
  <si>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</si>
  <si>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</si>
  <si>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</si>
  <si>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</si>
  <si>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</si>
  <si>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</si>
  <si>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</si>
  <si>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</si>
  <si>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</si>
  <si>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</si>
  <si>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</si>
  <si>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</si>
  <si>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</si>
  <si>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</si>
  <si>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</si>
  <si>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</si>
  <si>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</si>
  <si>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</si>
  <si>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</si>
  <si>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</si>
  <si>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</si>
  <si>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</si>
  <si>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</si>
  <si>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</si>
  <si>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</si>
  <si>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</si>
  <si>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</si>
  <si>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</si>
  <si>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</si>
  <si>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</si>
  <si>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</si>
  <si>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</si>
  <si>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</si>
  <si>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</si>
  <si>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</si>
  <si>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</si>
  <si>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</si>
  <si>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</si>
  <si>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</si>
  <si>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</si>
  <si>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</si>
  <si>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</si>
  <si>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</si>
  <si>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</si>
  <si>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</si>
  <si>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</si>
  <si>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</si>
  <si>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</si>
  <si>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</si>
  <si>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</si>
  <si>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</si>
  <si>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</si>
  <si>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</si>
  <si>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</si>
  <si>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</si>
  <si>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</si>
  <si>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</si>
  <si>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</si>
  <si>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</si>
  <si>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</si>
  <si>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</si>
  <si>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</si>
  <si>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</si>
  <si>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</si>
  <si>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</si>
  <si>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</si>
  <si>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</si>
  <si>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</si>
  <si>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</si>
  <si>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</si>
  <si>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</si>
  <si>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</si>
  <si>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</si>
  <si>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</si>
  <si>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</si>
  <si>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</si>
  <si>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</si>
  <si>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</si>
  <si>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</si>
  <si>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</si>
  <si>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</si>
  <si>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</si>
  <si>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</si>
  <si>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</si>
  <si>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</si>
  <si>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</si>
  <si>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</si>
  <si>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</si>
  <si>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</si>
  <si>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</si>
  <si>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</si>
  <si>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</si>
  <si>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</si>
  <si>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</si>
  <si>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</si>
  <si>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</si>
  <si>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</si>
  <si>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</si>
  <si>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</si>
  <si>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</si>
  <si>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</si>
  <si>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</si>
  <si>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</si>
  <si>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</si>
  <si>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</si>
  <si>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</si>
  <si>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</si>
  <si>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</si>
  <si>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</si>
  <si>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</si>
  <si>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</si>
  <si>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</si>
  <si>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</si>
  <si>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</si>
  <si>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</si>
  <si>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</si>
  <si>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</si>
  <si>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</si>
  <si>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</si>
  <si>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</si>
  <si>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</si>
  <si>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</si>
  <si>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</si>
  <si>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</si>
  <si>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</si>
  <si>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</si>
  <si>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</si>
  <si>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</si>
  <si>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</si>
  <si>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</si>
  <si>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</si>
  <si>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</si>
  <si>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</si>
  <si>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</si>
  <si>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</si>
  <si>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</si>
  <si>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</si>
  <si>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</si>
  <si>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</si>
  <si>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</si>
  <si>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</si>
  <si>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</si>
  <si>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</si>
  <si>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</si>
  <si>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</si>
  <si>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</si>
  <si>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</si>
  <si>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</si>
  <si>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</si>
  <si>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</si>
  <si>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</si>
  <si>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</si>
  <si>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</si>
  <si>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</si>
  <si>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</si>
  <si>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</si>
  <si>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</si>
  <si>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</si>
  <si>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</si>
  <si>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</si>
  <si>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</si>
  <si>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</si>
  <si>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</si>
  <si>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</si>
  <si>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</si>
  <si>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</si>
  <si>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</si>
  <si>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</si>
  <si>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</si>
  <si>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</si>
  <si>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</si>
  <si>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</si>
  <si>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</si>
  <si>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</si>
  <si>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</si>
  <si>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</si>
  <si>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</si>
  <si>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</si>
  <si>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</si>
  <si>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</si>
  <si>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</si>
  <si>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</si>
  <si>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</si>
  <si>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</si>
  <si>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</si>
  <si>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</si>
  <si>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</si>
  <si>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</si>
  <si>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</si>
  <si>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</si>
  <si>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</si>
  <si>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</si>
  <si>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</si>
  <si>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</si>
  <si>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</si>
  <si>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</si>
  <si>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</si>
  <si>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</si>
  <si>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</si>
  <si>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</si>
  <si>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</si>
  <si>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</si>
  <si>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</si>
  <si>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</si>
  <si>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</si>
  <si>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</si>
  <si>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</si>
  <si>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</si>
  <si>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</si>
  <si>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</si>
  <si>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</si>
  <si>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</si>
  <si>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</si>
  <si>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</si>
  <si>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</si>
  <si>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</si>
  <si>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</si>
  <si>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</si>
  <si>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</si>
  <si>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</si>
  <si>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</si>
  <si>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</si>
  <si>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</si>
  <si>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</si>
  <si>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</si>
  <si>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</si>
  <si>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</si>
  <si>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</si>
  <si>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</si>
  <si>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</si>
  <si>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</si>
  <si>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</si>
  <si>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</si>
  <si>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</si>
  <si>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</si>
  <si>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</si>
  <si>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</si>
  <si>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</si>
  <si>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</si>
  <si>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</si>
  <si>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</si>
  <si>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</si>
  <si>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</si>
  <si>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</si>
  <si>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</si>
  <si>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</si>
  <si>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</si>
  <si>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</si>
  <si>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</si>
  <si>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</si>
  <si>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</si>
  <si>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</si>
  <si>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</si>
  <si>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</si>
  <si>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</si>
  <si>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</si>
  <si>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</si>
  <si>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</si>
  <si>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</si>
  <si>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</si>
  <si>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</si>
  <si>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</si>
  <si>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</si>
  <si>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</si>
  <si>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</si>
  <si>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</si>
  <si>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</si>
  <si>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</si>
  <si>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</si>
  <si>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</si>
  <si>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</si>
  <si>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</si>
  <si>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</si>
  <si>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МЕТРОН АД</t>
  </si>
  <si>
    <t>неконсолидиран</t>
  </si>
  <si>
    <t>Съставител:  М. ЦОЛЧЕВА</t>
  </si>
  <si>
    <t>Ръководител:  М. ШИРИНЯН</t>
  </si>
  <si>
    <t>М. ЦОЛАЧЕВА</t>
  </si>
  <si>
    <t>М. ШИРИНЯН</t>
  </si>
  <si>
    <t xml:space="preserve">Съставител:  </t>
  </si>
  <si>
    <t>М. ШИРИНЯН.</t>
  </si>
  <si>
    <t xml:space="preserve">                                    Съставител:                         </t>
  </si>
  <si>
    <t>Съставител: М.ЦОЛАЧЕВА</t>
  </si>
  <si>
    <t>Ръководител: М. ШИРИНЯН</t>
  </si>
  <si>
    <t xml:space="preserve">Съставител:  М. ЦОЛАЧЕВА </t>
  </si>
  <si>
    <t xml:space="preserve">Дата на съставяне: 27.02.2010 г.                       </t>
  </si>
  <si>
    <t>01.01.2010-31.12.2010 г.</t>
  </si>
  <si>
    <t>17.01.2011г.</t>
  </si>
  <si>
    <t>Дата на съставяне: 17.01.2011 г.</t>
  </si>
  <si>
    <t xml:space="preserve">Дата на съставяне:    17.01.2011 г.                                   </t>
  </si>
  <si>
    <t xml:space="preserve">Дата  на съставяне:  17.01.2011 г.                                                                                                                               </t>
  </si>
  <si>
    <t>Дата на съставяне:  17.01.2011 г.</t>
  </si>
  <si>
    <t>Дата на съставяне:   17.01.2011 г.</t>
  </si>
  <si>
    <r>
      <t xml:space="preserve">Дата на съставяне: </t>
    </r>
    <r>
      <rPr>
        <sz val="10"/>
        <rFont val="Times New Roman"/>
        <family val="1"/>
      </rPr>
      <t>17.01.2011г.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</si>
</sst>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G71" sqref="G7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857</v>
      </c>
      <c r="F3" s="273" t="s">
        <v>2</v>
      </c>
      <c r="G3" s="226"/>
      <c r="H3" s="595">
        <v>831581732</v>
      </c>
    </row>
    <row r="4" spans="1:8" ht="28.5">
      <c r="A4" s="204" t="s">
        <v>3</v>
      </c>
      <c r="B4" s="583"/>
      <c r="C4" s="583"/>
      <c r="D4" s="584"/>
      <c r="E4" s="576" t="s">
        <v>858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870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1000</v>
      </c>
      <c r="H11" s="206">
        <v>1000</v>
      </c>
    </row>
    <row r="12" spans="1:8" ht="15">
      <c r="A12" s="291" t="s">
        <v>24</v>
      </c>
      <c r="B12" s="297" t="s">
        <v>25</v>
      </c>
      <c r="C12" s="205">
        <v>0</v>
      </c>
      <c r="D12" s="205">
        <v>0</v>
      </c>
      <c r="E12" s="293" t="s">
        <v>26</v>
      </c>
      <c r="F12" s="298" t="s">
        <v>27</v>
      </c>
      <c r="G12" s="207">
        <v>1000</v>
      </c>
      <c r="H12" s="207">
        <v>1000</v>
      </c>
    </row>
    <row r="13" spans="1:8" ht="15">
      <c r="A13" s="291" t="s">
        <v>28</v>
      </c>
      <c r="B13" s="297" t="s">
        <v>29</v>
      </c>
      <c r="C13" s="205">
        <v>719</v>
      </c>
      <c r="D13" s="205">
        <v>974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>
        <v>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43</v>
      </c>
      <c r="D15" s="205">
        <v>129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23</v>
      </c>
      <c r="D16" s="205">
        <v>32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1000</v>
      </c>
      <c r="H17" s="208">
        <f>H11+H14+H15+H16</f>
        <v>1000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785</v>
      </c>
      <c r="D19" s="209">
        <f>SUM(D11:D18)</f>
        <v>1135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139</v>
      </c>
      <c r="H21" s="210">
        <f>SUM(H22:H24)</f>
        <v>139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139</v>
      </c>
      <c r="H22" s="206">
        <v>139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>
        <v>0</v>
      </c>
      <c r="H23" s="206">
        <v>0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0</v>
      </c>
      <c r="H24" s="206">
        <v>0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139</v>
      </c>
      <c r="H25" s="208">
        <f>H19+H20+H21</f>
        <v>139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>
        <v>0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2635</v>
      </c>
      <c r="H27" s="208">
        <f>SUM(H28:H30)</f>
        <v>2214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2635</v>
      </c>
      <c r="H28" s="206">
        <v>2214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354</v>
      </c>
      <c r="H31" s="206">
        <v>429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2989</v>
      </c>
      <c r="H33" s="208">
        <f>H27+H31+H32</f>
        <v>2643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4128</v>
      </c>
      <c r="H36" s="208">
        <f>H25+H17+H33</f>
        <v>3782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389</v>
      </c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>
        <v>0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389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>
        <v>0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4</v>
      </c>
      <c r="H53" s="206">
        <v>4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785</v>
      </c>
      <c r="D55" s="209">
        <f>D19+D20+D21+D27+D32+D45+D51+D53+D54</f>
        <v>1135</v>
      </c>
      <c r="E55" s="293" t="s">
        <v>172</v>
      </c>
      <c r="F55" s="317" t="s">
        <v>173</v>
      </c>
      <c r="G55" s="208">
        <f>G49+G51+G52+G53+G54</f>
        <v>393</v>
      </c>
      <c r="H55" s="208">
        <f>H49+H51+H52+H53+H54</f>
        <v>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1102</v>
      </c>
      <c r="D58" s="205">
        <v>1424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734</v>
      </c>
      <c r="D59" s="205"/>
      <c r="E59" s="307" t="s">
        <v>181</v>
      </c>
      <c r="F59" s="298" t="s">
        <v>182</v>
      </c>
      <c r="G59" s="206">
        <v>422</v>
      </c>
      <c r="H59" s="206">
        <v>781</v>
      </c>
      <c r="M59" s="211"/>
    </row>
    <row r="60" spans="1:8" ht="15">
      <c r="A60" s="291" t="s">
        <v>183</v>
      </c>
      <c r="B60" s="297" t="s">
        <v>184</v>
      </c>
      <c r="C60" s="205">
        <v>1886</v>
      </c>
      <c r="D60" s="205">
        <v>2435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0</v>
      </c>
      <c r="D61" s="205">
        <v>0</v>
      </c>
      <c r="E61" s="299" t="s">
        <v>189</v>
      </c>
      <c r="F61" s="328" t="s">
        <v>190</v>
      </c>
      <c r="G61" s="208">
        <f>SUM(G62:G68)</f>
        <v>657</v>
      </c>
      <c r="H61" s="208">
        <f>SUM(H62:H68)</f>
        <v>1895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375</v>
      </c>
      <c r="H63" s="206">
        <v>784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3722</v>
      </c>
      <c r="D64" s="209">
        <f>SUM(D58:D63)</f>
        <v>3859</v>
      </c>
      <c r="E64" s="293" t="s">
        <v>200</v>
      </c>
      <c r="F64" s="298" t="s">
        <v>201</v>
      </c>
      <c r="G64" s="206">
        <v>224</v>
      </c>
      <c r="H64" s="206">
        <v>544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33</v>
      </c>
      <c r="H65" s="206">
        <v>501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13</v>
      </c>
      <c r="H66" s="206">
        <v>10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5</v>
      </c>
      <c r="H67" s="206">
        <v>5</v>
      </c>
    </row>
    <row r="68" spans="1:8" ht="15">
      <c r="A68" s="291" t="s">
        <v>211</v>
      </c>
      <c r="B68" s="297" t="s">
        <v>212</v>
      </c>
      <c r="C68" s="205">
        <v>897</v>
      </c>
      <c r="D68" s="205">
        <v>1047</v>
      </c>
      <c r="E68" s="293" t="s">
        <v>213</v>
      </c>
      <c r="F68" s="298" t="s">
        <v>214</v>
      </c>
      <c r="G68" s="206">
        <v>7</v>
      </c>
      <c r="H68" s="206">
        <v>51</v>
      </c>
    </row>
    <row r="69" spans="1:8" ht="15">
      <c r="A69" s="291" t="s">
        <v>215</v>
      </c>
      <c r="B69" s="297" t="s">
        <v>216</v>
      </c>
      <c r="C69" s="205">
        <v>51</v>
      </c>
      <c r="D69" s="205">
        <v>154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>
        <v>0</v>
      </c>
      <c r="D70" s="205">
        <v>0</v>
      </c>
      <c r="E70" s="293" t="s">
        <v>220</v>
      </c>
      <c r="F70" s="298" t="s">
        <v>221</v>
      </c>
      <c r="G70" s="206">
        <v>13</v>
      </c>
      <c r="H70" s="206">
        <v>6</v>
      </c>
    </row>
    <row r="71" spans="1:18" ht="15">
      <c r="A71" s="291" t="s">
        <v>222</v>
      </c>
      <c r="B71" s="297" t="s">
        <v>223</v>
      </c>
      <c r="C71" s="205">
        <v>0</v>
      </c>
      <c r="D71" s="205"/>
      <c r="E71" s="309" t="s">
        <v>46</v>
      </c>
      <c r="F71" s="329" t="s">
        <v>224</v>
      </c>
      <c r="G71" s="215">
        <f>G59+G60+G61+G69+G70</f>
        <v>1092</v>
      </c>
      <c r="H71" s="215">
        <f>H59+H60+H61+H69+H70</f>
        <v>2682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10</v>
      </c>
      <c r="D72" s="205">
        <v>38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111</v>
      </c>
      <c r="D74" s="205">
        <v>113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1069</v>
      </c>
      <c r="D75" s="209">
        <f>SUM(D67:D74)</f>
        <v>1352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1092</v>
      </c>
      <c r="H79" s="216">
        <f>H71+H74+H75+H76</f>
        <v>2682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15</v>
      </c>
      <c r="D87" s="205">
        <v>111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9</v>
      </c>
      <c r="D88" s="205">
        <v>8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13</v>
      </c>
      <c r="D89" s="205">
        <v>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37</v>
      </c>
      <c r="D91" s="209">
        <f>SUM(D87:D90)</f>
        <v>122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>
        <v>0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4828</v>
      </c>
      <c r="D93" s="209">
        <f>D64+D75+D84+D91+D92</f>
        <v>5333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5613</v>
      </c>
      <c r="D94" s="218">
        <f>D93+D55</f>
        <v>6468</v>
      </c>
      <c r="E94" s="558" t="s">
        <v>270</v>
      </c>
      <c r="F94" s="345" t="s">
        <v>271</v>
      </c>
      <c r="G94" s="219">
        <f>G36+G39+G55+G79</f>
        <v>5613</v>
      </c>
      <c r="H94" s="219">
        <f>H36+H39+H55+H79</f>
        <v>6468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872</v>
      </c>
      <c r="B98" s="539"/>
      <c r="C98" s="602" t="s">
        <v>859</v>
      </c>
      <c r="D98" s="602"/>
      <c r="E98" s="602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2" t="s">
        <v>860</v>
      </c>
      <c r="D100" s="603"/>
      <c r="E100" s="603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2" fitToWidth="1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13">
      <selection activeCell="C36" sqref="C3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МЕТРОН АД</v>
      </c>
      <c r="F2" s="605" t="s">
        <v>2</v>
      </c>
      <c r="G2" s="605"/>
      <c r="H2" s="353">
        <f>'справка №1-БАЛАНС'!H3</f>
        <v>831581732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01.01.2010-31.12.2010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89</v>
      </c>
      <c r="D9" s="79">
        <v>51</v>
      </c>
      <c r="E9" s="363" t="s">
        <v>283</v>
      </c>
      <c r="F9" s="365" t="s">
        <v>284</v>
      </c>
      <c r="G9" s="87">
        <v>992</v>
      </c>
      <c r="H9" s="87">
        <v>1032</v>
      </c>
    </row>
    <row r="10" spans="1:8" ht="12">
      <c r="A10" s="363" t="s">
        <v>285</v>
      </c>
      <c r="B10" s="364" t="s">
        <v>286</v>
      </c>
      <c r="C10" s="79">
        <v>203</v>
      </c>
      <c r="D10" s="79">
        <v>113</v>
      </c>
      <c r="E10" s="363" t="s">
        <v>287</v>
      </c>
      <c r="F10" s="365" t="s">
        <v>288</v>
      </c>
      <c r="G10" s="87">
        <v>996</v>
      </c>
      <c r="H10" s="87">
        <v>1722</v>
      </c>
    </row>
    <row r="11" spans="1:8" ht="12">
      <c r="A11" s="363" t="s">
        <v>289</v>
      </c>
      <c r="B11" s="364" t="s">
        <v>290</v>
      </c>
      <c r="C11" s="79">
        <v>383</v>
      </c>
      <c r="D11" s="79">
        <v>330</v>
      </c>
      <c r="E11" s="366" t="s">
        <v>291</v>
      </c>
      <c r="F11" s="365" t="s">
        <v>292</v>
      </c>
      <c r="G11" s="87">
        <v>7</v>
      </c>
      <c r="H11" s="87">
        <v>1</v>
      </c>
    </row>
    <row r="12" spans="1:8" ht="12">
      <c r="A12" s="363" t="s">
        <v>293</v>
      </c>
      <c r="B12" s="364" t="s">
        <v>294</v>
      </c>
      <c r="C12" s="79">
        <v>194</v>
      </c>
      <c r="D12" s="79">
        <v>596</v>
      </c>
      <c r="E12" s="366" t="s">
        <v>78</v>
      </c>
      <c r="F12" s="365" t="s">
        <v>295</v>
      </c>
      <c r="G12" s="87">
        <v>6</v>
      </c>
      <c r="H12" s="87">
        <v>544</v>
      </c>
    </row>
    <row r="13" spans="1:18" ht="12">
      <c r="A13" s="363" t="s">
        <v>296</v>
      </c>
      <c r="B13" s="364" t="s">
        <v>297</v>
      </c>
      <c r="C13" s="79">
        <v>34</v>
      </c>
      <c r="D13" s="79">
        <v>36</v>
      </c>
      <c r="E13" s="367" t="s">
        <v>51</v>
      </c>
      <c r="F13" s="368" t="s">
        <v>298</v>
      </c>
      <c r="G13" s="88">
        <f>SUM(G9:G12)</f>
        <v>2001</v>
      </c>
      <c r="H13" s="88">
        <f>SUM(H9:H12)</f>
        <v>3299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777</v>
      </c>
      <c r="D14" s="79">
        <v>1444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>
        <v>254</v>
      </c>
      <c r="H15" s="87"/>
    </row>
    <row r="16" spans="1:8" ht="12">
      <c r="A16" s="363" t="s">
        <v>305</v>
      </c>
      <c r="B16" s="364" t="s">
        <v>306</v>
      </c>
      <c r="C16" s="80">
        <v>39</v>
      </c>
      <c r="D16" s="80">
        <v>69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1719</v>
      </c>
      <c r="D19" s="82">
        <f>SUM(D9:D15)+D16</f>
        <v>2639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108</v>
      </c>
      <c r="D22" s="79">
        <v>151</v>
      </c>
      <c r="E22" s="373" t="s">
        <v>324</v>
      </c>
      <c r="F22" s="369" t="s">
        <v>325</v>
      </c>
      <c r="G22" s="87">
        <v>2</v>
      </c>
      <c r="H22" s="87"/>
    </row>
    <row r="23" spans="1:8" ht="24">
      <c r="A23" s="363" t="s">
        <v>326</v>
      </c>
      <c r="B23" s="375" t="s">
        <v>327</v>
      </c>
      <c r="C23" s="79">
        <v>0</v>
      </c>
      <c r="D23" s="79">
        <v>0</v>
      </c>
      <c r="E23" s="363" t="s">
        <v>328</v>
      </c>
      <c r="F23" s="369" t="s">
        <v>329</v>
      </c>
      <c r="G23" s="87">
        <v>0</v>
      </c>
      <c r="H23" s="87">
        <v>3</v>
      </c>
    </row>
    <row r="24" spans="1:18" ht="12">
      <c r="A24" s="363" t="s">
        <v>330</v>
      </c>
      <c r="B24" s="375" t="s">
        <v>331</v>
      </c>
      <c r="C24" s="79">
        <v>14</v>
      </c>
      <c r="D24" s="79">
        <v>14</v>
      </c>
      <c r="E24" s="367" t="s">
        <v>103</v>
      </c>
      <c r="F24" s="370" t="s">
        <v>332</v>
      </c>
      <c r="G24" s="88">
        <f>SUM(G19:G23)</f>
        <v>2</v>
      </c>
      <c r="H24" s="88">
        <f>SUM(H19:H23)</f>
        <v>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26</v>
      </c>
      <c r="D25" s="79">
        <v>22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148</v>
      </c>
      <c r="D26" s="82">
        <f>SUM(D22:D25)</f>
        <v>187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1867</v>
      </c>
      <c r="D28" s="83">
        <f>D26+D19</f>
        <v>2826</v>
      </c>
      <c r="E28" s="174" t="s">
        <v>337</v>
      </c>
      <c r="F28" s="370" t="s">
        <v>338</v>
      </c>
      <c r="G28" s="88">
        <f>G13+G15+G24</f>
        <v>2257</v>
      </c>
      <c r="H28" s="88">
        <f>H13+H15+H24</f>
        <v>3302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390</v>
      </c>
      <c r="D30" s="83">
        <f>IF((H28-D28)&gt;0,H28-D28,0)</f>
        <v>476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1867</v>
      </c>
      <c r="D33" s="82">
        <f>D28-D31+D32</f>
        <v>2826</v>
      </c>
      <c r="E33" s="174" t="s">
        <v>351</v>
      </c>
      <c r="F33" s="370" t="s">
        <v>352</v>
      </c>
      <c r="G33" s="90">
        <f>G32-G31+G28</f>
        <v>2257</v>
      </c>
      <c r="H33" s="90">
        <f>H32-H31+H28</f>
        <v>3302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390</v>
      </c>
      <c r="D34" s="83">
        <f>IF((H33-D33)&gt;0,H33-D33,0)</f>
        <v>476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36</v>
      </c>
      <c r="D35" s="82">
        <f>D36+D37+D38</f>
        <v>43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36</v>
      </c>
      <c r="D36" s="79">
        <v>43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0</v>
      </c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354</v>
      </c>
      <c r="D39" s="570">
        <f>+IF((H33-D33-D35)&gt;0,H33-D33-D35,0)</f>
        <v>433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354</v>
      </c>
      <c r="D41" s="85">
        <f>IF(H39=0,IF(D39-D40&gt;0,D39-D40+H40,0),IF(H39-H40&lt;0,H40-H39+D39,0))</f>
        <v>433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2257</v>
      </c>
      <c r="D42" s="86">
        <f>D33+D35+D39</f>
        <v>3302</v>
      </c>
      <c r="E42" s="177" t="s">
        <v>378</v>
      </c>
      <c r="F42" s="178" t="s">
        <v>379</v>
      </c>
      <c r="G42" s="90">
        <f>G39+G33</f>
        <v>2257</v>
      </c>
      <c r="H42" s="90">
        <f>H39+H33</f>
        <v>3302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 t="s">
        <v>871</v>
      </c>
      <c r="C44" s="532" t="s">
        <v>381</v>
      </c>
      <c r="D44" s="604" t="s">
        <v>861</v>
      </c>
      <c r="E44" s="604"/>
      <c r="F44" s="604"/>
      <c r="G44" s="604"/>
      <c r="H44" s="604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 t="s">
        <v>862</v>
      </c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16" bottom="0.16" header="0.16" footer="0.16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3">
      <selection activeCell="C15" sqref="C15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МЕТРОН АД</v>
      </c>
      <c r="C4" s="397" t="s">
        <v>2</v>
      </c>
      <c r="D4" s="353">
        <f>'справка №1-БАЛАНС'!H3</f>
        <v>831581732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01.01.2010-31.12.2010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3028</v>
      </c>
      <c r="D10" s="92">
        <v>3528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-2226</v>
      </c>
      <c r="D11" s="92">
        <v>-2594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-267</v>
      </c>
      <c r="D13" s="92">
        <v>-957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-62</v>
      </c>
      <c r="D14" s="92">
        <v>-138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-8</v>
      </c>
      <c r="D15" s="92">
        <v>-81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-133</v>
      </c>
      <c r="D17" s="92">
        <v>-174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-5</v>
      </c>
      <c r="D18" s="92">
        <v>-14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0</v>
      </c>
      <c r="D19" s="92">
        <v>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327</v>
      </c>
      <c r="D20" s="93">
        <f>SUM(D10:D19)</f>
        <v>-430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-34</v>
      </c>
      <c r="D22" s="92">
        <v>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0</v>
      </c>
      <c r="D23" s="92">
        <v>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-34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913</v>
      </c>
      <c r="D36" s="92">
        <v>536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-1291</v>
      </c>
      <c r="D37" s="92">
        <v>-90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-378</v>
      </c>
      <c r="D42" s="93">
        <f>SUM(D34:D41)</f>
        <v>446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-85</v>
      </c>
      <c r="D43" s="93">
        <f>D42+D32+D20</f>
        <v>16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122</v>
      </c>
      <c r="D44" s="184">
        <v>106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37</v>
      </c>
      <c r="D45" s="93">
        <f>D44+D43</f>
        <v>122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0</v>
      </c>
      <c r="D46" s="94">
        <v>119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0</v>
      </c>
      <c r="D47" s="94">
        <v>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99" t="s">
        <v>861</v>
      </c>
      <c r="C51" s="599"/>
      <c r="D51" s="542"/>
      <c r="G51" s="186"/>
      <c r="H51" s="186"/>
    </row>
    <row r="52" spans="1:8" ht="12">
      <c r="A52" s="546"/>
      <c r="B52" s="544" t="s">
        <v>779</v>
      </c>
      <c r="C52" s="599"/>
      <c r="D52" s="599"/>
      <c r="G52" s="186"/>
      <c r="H52" s="186"/>
    </row>
    <row r="53" spans="1:8" ht="12">
      <c r="A53" s="546"/>
      <c r="B53" s="599" t="s">
        <v>862</v>
      </c>
      <c r="C53" s="599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4">
    <mergeCell ref="C50:D50"/>
    <mergeCell ref="C52:D52"/>
    <mergeCell ref="B51:C51"/>
    <mergeCell ref="B53:C53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6" top="0.16" bottom="0.55" header="0.16" footer="0.28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">
      <selection activeCell="K34" sqref="K34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МЕТРОН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831581732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01.01.2010-31.12.2010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1000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139</v>
      </c>
      <c r="G11" s="96">
        <f>'справка №1-БАЛАНС'!H23</f>
        <v>0</v>
      </c>
      <c r="H11" s="98">
        <v>0</v>
      </c>
      <c r="I11" s="96">
        <f>'справка №1-БАЛАНС'!H28+'справка №1-БАЛАНС'!H31</f>
        <v>2643</v>
      </c>
      <c r="J11" s="96">
        <f>'справка №1-БАЛАНС'!H29+'справка №1-БАЛАНС'!H32</f>
        <v>0</v>
      </c>
      <c r="K11" s="98"/>
      <c r="L11" s="424">
        <f>SUM(C11:K11)</f>
        <v>3782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1000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139</v>
      </c>
      <c r="G15" s="99">
        <f t="shared" si="2"/>
        <v>0</v>
      </c>
      <c r="H15" s="99">
        <f t="shared" si="2"/>
        <v>0</v>
      </c>
      <c r="I15" s="99">
        <f t="shared" si="2"/>
        <v>2643</v>
      </c>
      <c r="J15" s="99">
        <f t="shared" si="2"/>
        <v>0</v>
      </c>
      <c r="K15" s="99">
        <f t="shared" si="2"/>
        <v>0</v>
      </c>
      <c r="L15" s="424">
        <f t="shared" si="1"/>
        <v>3782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354</v>
      </c>
      <c r="J16" s="425">
        <f>+'справка №1-БАЛАНС'!G32</f>
        <v>0</v>
      </c>
      <c r="K16" s="98"/>
      <c r="L16" s="424">
        <f t="shared" si="1"/>
        <v>354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v>-8</v>
      </c>
      <c r="J28" s="98"/>
      <c r="K28" s="98"/>
      <c r="L28" s="424">
        <f t="shared" si="1"/>
        <v>-8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1000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139</v>
      </c>
      <c r="G29" s="97">
        <f t="shared" si="6"/>
        <v>0</v>
      </c>
      <c r="H29" s="97">
        <f t="shared" si="6"/>
        <v>0</v>
      </c>
      <c r="I29" s="97">
        <f t="shared" si="6"/>
        <v>2989</v>
      </c>
      <c r="J29" s="97">
        <f t="shared" si="6"/>
        <v>0</v>
      </c>
      <c r="K29" s="97">
        <f t="shared" si="6"/>
        <v>0</v>
      </c>
      <c r="L29" s="424">
        <f t="shared" si="1"/>
        <v>4128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1000</v>
      </c>
      <c r="D32" s="97">
        <f t="shared" si="7"/>
        <v>0</v>
      </c>
      <c r="E32" s="97">
        <f t="shared" si="7"/>
        <v>0</v>
      </c>
      <c r="F32" s="97">
        <f t="shared" si="7"/>
        <v>139</v>
      </c>
      <c r="G32" s="97">
        <f t="shared" si="7"/>
        <v>0</v>
      </c>
      <c r="H32" s="97">
        <f t="shared" si="7"/>
        <v>0</v>
      </c>
      <c r="I32" s="97">
        <f t="shared" si="7"/>
        <v>2989</v>
      </c>
      <c r="J32" s="97">
        <f t="shared" si="7"/>
        <v>0</v>
      </c>
      <c r="K32" s="97">
        <f t="shared" si="7"/>
        <v>0</v>
      </c>
      <c r="L32" s="424">
        <f t="shared" si="1"/>
        <v>4128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874</v>
      </c>
      <c r="B35" s="37"/>
      <c r="C35" s="24"/>
      <c r="D35" s="601" t="s">
        <v>863</v>
      </c>
      <c r="E35" s="601"/>
      <c r="F35" s="601"/>
      <c r="G35" s="601"/>
      <c r="H35" s="601"/>
      <c r="I35" s="601"/>
      <c r="J35" s="24" t="s">
        <v>853</v>
      </c>
      <c r="K35" s="24"/>
      <c r="L35" s="601"/>
      <c r="M35" s="601"/>
      <c r="N35" s="19"/>
    </row>
    <row r="36" spans="1:13" ht="12">
      <c r="A36" s="430"/>
      <c r="B36" s="431"/>
      <c r="C36" s="432"/>
      <c r="D36" s="432" t="s">
        <v>861</v>
      </c>
      <c r="E36" s="432"/>
      <c r="F36" s="432"/>
      <c r="G36" s="432"/>
      <c r="H36" s="432"/>
      <c r="I36" s="432"/>
      <c r="J36" s="432" t="s">
        <v>864</v>
      </c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6" right="0.26" top="0.18" bottom="0.4330708661417323" header="0.1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3">
      <selection activeCell="L14" sqref="L1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МЕТРОН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831581732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01.01.2010-31.12.2010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522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8" t="s">
        <v>528</v>
      </c>
      <c r="R5" s="618" t="s">
        <v>529</v>
      </c>
    </row>
    <row r="6" spans="1:18" s="44" customFormat="1" ht="48">
      <c r="A6" s="624"/>
      <c r="B6" s="625"/>
      <c r="C6" s="627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9"/>
      <c r="R6" s="61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0</v>
      </c>
      <c r="E10" s="243">
        <v>0</v>
      </c>
      <c r="F10" s="243">
        <v>0</v>
      </c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>
        <v>0</v>
      </c>
      <c r="L10" s="103">
        <v>0</v>
      </c>
      <c r="M10" s="103">
        <v>0</v>
      </c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1465</v>
      </c>
      <c r="E11" s="243">
        <v>34</v>
      </c>
      <c r="F11" s="243"/>
      <c r="G11" s="113">
        <f t="shared" si="2"/>
        <v>1499</v>
      </c>
      <c r="H11" s="103"/>
      <c r="I11" s="103"/>
      <c r="J11" s="113">
        <f t="shared" si="3"/>
        <v>1499</v>
      </c>
      <c r="K11" s="103">
        <v>491</v>
      </c>
      <c r="L11" s="103">
        <v>289</v>
      </c>
      <c r="M11" s="103"/>
      <c r="N11" s="113">
        <f t="shared" si="4"/>
        <v>780</v>
      </c>
      <c r="O11" s="103"/>
      <c r="P11" s="103"/>
      <c r="Q11" s="113">
        <f t="shared" si="0"/>
        <v>780</v>
      </c>
      <c r="R11" s="113">
        <f t="shared" si="1"/>
        <v>719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478</v>
      </c>
      <c r="E13" s="243">
        <v>0</v>
      </c>
      <c r="F13" s="243">
        <v>0</v>
      </c>
      <c r="G13" s="113">
        <f t="shared" si="2"/>
        <v>478</v>
      </c>
      <c r="H13" s="103"/>
      <c r="I13" s="103"/>
      <c r="J13" s="113">
        <f t="shared" si="3"/>
        <v>478</v>
      </c>
      <c r="K13" s="103">
        <v>349</v>
      </c>
      <c r="L13" s="103">
        <v>86</v>
      </c>
      <c r="M13" s="103">
        <v>0</v>
      </c>
      <c r="N13" s="113">
        <f t="shared" si="4"/>
        <v>435</v>
      </c>
      <c r="O13" s="103"/>
      <c r="P13" s="103"/>
      <c r="Q13" s="113">
        <f t="shared" si="0"/>
        <v>435</v>
      </c>
      <c r="R13" s="113">
        <f t="shared" si="1"/>
        <v>43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107</v>
      </c>
      <c r="E14" s="243">
        <v>0</v>
      </c>
      <c r="F14" s="243"/>
      <c r="G14" s="113">
        <f t="shared" si="2"/>
        <v>107</v>
      </c>
      <c r="H14" s="103"/>
      <c r="I14" s="103"/>
      <c r="J14" s="113">
        <f t="shared" si="3"/>
        <v>107</v>
      </c>
      <c r="K14" s="103">
        <v>76</v>
      </c>
      <c r="L14" s="103">
        <v>8</v>
      </c>
      <c r="M14" s="103"/>
      <c r="N14" s="113">
        <f t="shared" si="4"/>
        <v>84</v>
      </c>
      <c r="O14" s="103"/>
      <c r="P14" s="103"/>
      <c r="Q14" s="113">
        <f t="shared" si="0"/>
        <v>84</v>
      </c>
      <c r="R14" s="113">
        <f t="shared" si="1"/>
        <v>23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854</v>
      </c>
      <c r="B15" s="466" t="s">
        <v>855</v>
      </c>
      <c r="C15" s="564" t="s">
        <v>856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2050</v>
      </c>
      <c r="E17" s="248">
        <f>SUM(E9:E16)</f>
        <v>34</v>
      </c>
      <c r="F17" s="248">
        <f>SUM(F9:F16)</f>
        <v>0</v>
      </c>
      <c r="G17" s="113">
        <f t="shared" si="2"/>
        <v>2084</v>
      </c>
      <c r="H17" s="114">
        <f>SUM(H9:H16)</f>
        <v>0</v>
      </c>
      <c r="I17" s="114">
        <f>SUM(I9:I16)</f>
        <v>0</v>
      </c>
      <c r="J17" s="113">
        <f t="shared" si="3"/>
        <v>2084</v>
      </c>
      <c r="K17" s="114">
        <f>SUM(K9:K16)</f>
        <v>916</v>
      </c>
      <c r="L17" s="114">
        <f>SUM(L9:L16)</f>
        <v>383</v>
      </c>
      <c r="M17" s="114">
        <f>SUM(M9:M16)</f>
        <v>0</v>
      </c>
      <c r="N17" s="113">
        <f t="shared" si="4"/>
        <v>1299</v>
      </c>
      <c r="O17" s="114">
        <f>SUM(O9:O16)</f>
        <v>0</v>
      </c>
      <c r="P17" s="114">
        <f>SUM(P9:P16)</f>
        <v>0</v>
      </c>
      <c r="Q17" s="113">
        <f t="shared" si="5"/>
        <v>1299</v>
      </c>
      <c r="R17" s="113">
        <f t="shared" si="6"/>
        <v>785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0</v>
      </c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>
        <v>0</v>
      </c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0</v>
      </c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>
        <v>0</v>
      </c>
      <c r="L24" s="103">
        <v>0</v>
      </c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2050</v>
      </c>
      <c r="E40" s="547">
        <f>E17+E18+E19+E25+E38+E39</f>
        <v>34</v>
      </c>
      <c r="F40" s="547">
        <f aca="true" t="shared" si="13" ref="F40:R40">F17+F18+F19+F25+F38+F39</f>
        <v>0</v>
      </c>
      <c r="G40" s="547">
        <f t="shared" si="13"/>
        <v>2084</v>
      </c>
      <c r="H40" s="547">
        <f t="shared" si="13"/>
        <v>0</v>
      </c>
      <c r="I40" s="547">
        <f t="shared" si="13"/>
        <v>0</v>
      </c>
      <c r="J40" s="547">
        <f t="shared" si="13"/>
        <v>2084</v>
      </c>
      <c r="K40" s="547">
        <f t="shared" si="13"/>
        <v>916</v>
      </c>
      <c r="L40" s="547">
        <f t="shared" si="13"/>
        <v>383</v>
      </c>
      <c r="M40" s="547">
        <f t="shared" si="13"/>
        <v>0</v>
      </c>
      <c r="N40" s="547">
        <f t="shared" si="13"/>
        <v>1299</v>
      </c>
      <c r="O40" s="547">
        <f t="shared" si="13"/>
        <v>0</v>
      </c>
      <c r="P40" s="547">
        <f t="shared" si="13"/>
        <v>0</v>
      </c>
      <c r="Q40" s="547">
        <f t="shared" si="13"/>
        <v>1299</v>
      </c>
      <c r="R40" s="547">
        <f t="shared" si="13"/>
        <v>785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865</v>
      </c>
      <c r="I44" s="447"/>
      <c r="J44" s="447"/>
      <c r="K44" s="628"/>
      <c r="L44" s="628"/>
      <c r="M44" s="628"/>
      <c r="N44" s="628"/>
      <c r="O44" s="614" t="s">
        <v>779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861</v>
      </c>
      <c r="J45" s="437"/>
      <c r="K45" s="437"/>
      <c r="L45" s="437"/>
      <c r="M45" s="437"/>
      <c r="N45" s="437"/>
      <c r="O45" s="437" t="s">
        <v>862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6" right="0.17" top="0.37" bottom="0.5118110236220472" header="0.17" footer="0.5118110236220472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workbookViewId="0" topLeftCell="A27">
      <selection activeCell="E35" sqref="E3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МЕТРОН АД</v>
      </c>
      <c r="B3" s="633"/>
      <c r="C3" s="353" t="s">
        <v>2</v>
      </c>
      <c r="E3" s="353">
        <f>'справка №1-БАЛАНС'!H3</f>
        <v>831581732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01.01.2010-31.12.2010 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897</v>
      </c>
      <c r="D28" s="153">
        <v>897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51</v>
      </c>
      <c r="D29" s="153">
        <v>51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>
        <v>0</v>
      </c>
      <c r="D30" s="153">
        <v>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10</v>
      </c>
      <c r="D33" s="150">
        <f>SUM(D34:D37)</f>
        <v>10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10</v>
      </c>
      <c r="D34" s="153">
        <v>10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0</v>
      </c>
      <c r="D35" s="153">
        <v>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0</v>
      </c>
      <c r="D37" s="153">
        <v>0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111</v>
      </c>
      <c r="D38" s="150">
        <f>SUM(D39:D42)</f>
        <v>111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111</v>
      </c>
      <c r="D42" s="153">
        <v>111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1069</v>
      </c>
      <c r="D43" s="149">
        <f>D24+D28+D29+D31+D30+D32+D33+D38</f>
        <v>1069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1069</v>
      </c>
      <c r="D44" s="148">
        <f>D43+D21+D19+D9</f>
        <v>1069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4</v>
      </c>
      <c r="D68" s="153">
        <v>4</v>
      </c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811</v>
      </c>
      <c r="D75" s="148">
        <f>D76+D78</f>
        <v>0</v>
      </c>
      <c r="E75" s="148">
        <f>E76+E78</f>
        <v>811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811</v>
      </c>
      <c r="D76" s="153"/>
      <c r="E76" s="165">
        <f t="shared" si="1"/>
        <v>811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657</v>
      </c>
      <c r="D85" s="149">
        <f>SUM(D86:D90)+D94</f>
        <v>701</v>
      </c>
      <c r="E85" s="149">
        <f>SUM(E86:E90)+E94</f>
        <v>-44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375</v>
      </c>
      <c r="D86" s="153">
        <v>375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224</v>
      </c>
      <c r="D87" s="153">
        <v>224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33</v>
      </c>
      <c r="D88" s="153">
        <v>33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13</v>
      </c>
      <c r="D89" s="153">
        <v>13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7</v>
      </c>
      <c r="D90" s="148">
        <f>SUM(D91:D93)</f>
        <v>51</v>
      </c>
      <c r="E90" s="148">
        <f>SUM(E91:E93)</f>
        <v>-44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6</v>
      </c>
      <c r="D92" s="153"/>
      <c r="E92" s="165">
        <f t="shared" si="1"/>
        <v>6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</v>
      </c>
      <c r="D93" s="153">
        <v>51</v>
      </c>
      <c r="E93" s="165">
        <f t="shared" si="1"/>
        <v>-50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5</v>
      </c>
      <c r="D94" s="153">
        <v>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1468</v>
      </c>
      <c r="D96" s="149">
        <f>D85+D80+D75+D71+D95</f>
        <v>701</v>
      </c>
      <c r="E96" s="149">
        <f>E85+E80+E75+E71+E95</f>
        <v>767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1472</v>
      </c>
      <c r="D97" s="149">
        <f>D96+D68+D66</f>
        <v>705</v>
      </c>
      <c r="E97" s="149">
        <f>E96+E68+E66</f>
        <v>767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>
        <v>6</v>
      </c>
      <c r="D104" s="153">
        <v>3</v>
      </c>
      <c r="E104" s="153">
        <v>4</v>
      </c>
      <c r="F104" s="172">
        <f>C104+D104-E104</f>
        <v>5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6</v>
      </c>
      <c r="D105" s="148">
        <f>SUM(D102:D104)</f>
        <v>3</v>
      </c>
      <c r="E105" s="148">
        <f>SUM(E102:E104)</f>
        <v>4</v>
      </c>
      <c r="F105" s="148">
        <f>SUM(F102:F104)</f>
        <v>5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875</v>
      </c>
      <c r="B109" s="630"/>
      <c r="C109" s="630" t="s">
        <v>866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867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34" bottom="0.3937007874015748" header="0.18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МЕТРОН АД</v>
      </c>
      <c r="D4" s="612"/>
      <c r="E4" s="612"/>
      <c r="F4" s="578"/>
      <c r="G4" s="580" t="s">
        <v>2</v>
      </c>
      <c r="H4" s="580"/>
      <c r="I4" s="589">
        <f>'справка №1-БАЛАНС'!H3</f>
        <v>831581732</v>
      </c>
    </row>
    <row r="5" spans="1:9" ht="15">
      <c r="A5" s="522" t="s">
        <v>5</v>
      </c>
      <c r="B5" s="579"/>
      <c r="C5" s="606" t="str">
        <f>'справка №1-БАЛАНС'!E5</f>
        <v>01.01.2010-31.12.2010 г.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1000</v>
      </c>
      <c r="D12" s="141"/>
      <c r="E12" s="141"/>
      <c r="F12" s="141">
        <v>1000</v>
      </c>
      <c r="G12" s="141"/>
      <c r="H12" s="141"/>
      <c r="I12" s="541">
        <f>F12+G12-H12</f>
        <v>1000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1000</v>
      </c>
      <c r="D17" s="127">
        <f t="shared" si="1"/>
        <v>0</v>
      </c>
      <c r="E17" s="127">
        <f t="shared" si="1"/>
        <v>0</v>
      </c>
      <c r="F17" s="127">
        <f t="shared" si="1"/>
        <v>1000</v>
      </c>
      <c r="G17" s="127">
        <f t="shared" si="1"/>
        <v>0</v>
      </c>
      <c r="H17" s="127">
        <f t="shared" si="1"/>
        <v>0</v>
      </c>
      <c r="I17" s="541">
        <f t="shared" si="0"/>
        <v>1000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876</v>
      </c>
      <c r="B30" s="636"/>
      <c r="C30" s="636"/>
      <c r="D30" s="568" t="s">
        <v>817</v>
      </c>
      <c r="E30" s="635"/>
      <c r="F30" s="635"/>
      <c r="G30" s="635"/>
      <c r="H30" s="519" t="s">
        <v>779</v>
      </c>
      <c r="I30" s="635"/>
      <c r="J30" s="635"/>
    </row>
    <row r="31" spans="1:9" s="115" customFormat="1" ht="12">
      <c r="A31" s="437"/>
      <c r="B31" s="520"/>
      <c r="C31" s="437"/>
      <c r="D31" s="510" t="s">
        <v>861</v>
      </c>
      <c r="E31" s="510"/>
      <c r="F31" s="510"/>
      <c r="G31" s="510"/>
      <c r="H31" s="510" t="s">
        <v>862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zoomScale="85" zoomScaleNormal="85" workbookViewId="0" topLeftCell="A97">
      <selection activeCell="A151" sqref="A15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МЕТРОН АД</v>
      </c>
      <c r="C5" s="611"/>
      <c r="D5" s="587"/>
      <c r="E5" s="353" t="s">
        <v>2</v>
      </c>
      <c r="F5" s="590">
        <f>'справка №1-БАЛАНС'!H3</f>
        <v>831581732</v>
      </c>
    </row>
    <row r="6" spans="1:13" ht="15" customHeight="1">
      <c r="A6" s="54" t="s">
        <v>820</v>
      </c>
      <c r="B6" s="606" t="str">
        <f>'справка №1-БАЛАНС'!E5</f>
        <v>01.01.2010-31.12.2010 г.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877</v>
      </c>
      <c r="B151" s="561"/>
      <c r="C151" s="638" t="s">
        <v>868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67" bottom="0.5118110236220472" header="0.35" footer="0.5118110236220472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  <rowBreaks count="1" manualBreakCount="1"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Account1</cp:lastModifiedBy>
  <cp:lastPrinted>2011-01-20T12:24:56Z</cp:lastPrinted>
  <dcterms:created xsi:type="dcterms:W3CDTF">2000-06-29T12:02:40Z</dcterms:created>
  <dcterms:modified xsi:type="dcterms:W3CDTF">2011-03-18T14:14:51Z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